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d\Dropbox\WPC CEP\2018 Legislative Session\"/>
    </mc:Choice>
  </mc:AlternateContent>
  <bookViews>
    <workbookView xWindow="0" yWindow="0" windowWidth="28800" windowHeight="12210" xr2:uid="{F6BCEC9D-93B2-4D36-94DC-E2DF6B33398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N43" i="1"/>
  <c r="M43" i="1"/>
  <c r="L28" i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27" i="1"/>
  <c r="L26" i="1"/>
  <c r="E22" i="1" l="1"/>
  <c r="F22" i="1"/>
  <c r="M4" i="1"/>
  <c r="M5" i="1" s="1"/>
  <c r="K3" i="1"/>
  <c r="L3" i="1" s="1"/>
  <c r="D4" i="1"/>
  <c r="C4" i="1"/>
  <c r="C10" i="1" l="1"/>
  <c r="M6" i="1"/>
  <c r="M7" i="1" s="1"/>
  <c r="K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K26" i="1" s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F21" i="1"/>
  <c r="E21" i="1"/>
  <c r="L4" i="1" l="1"/>
  <c r="C3" i="1" s="1"/>
  <c r="K5" i="1"/>
  <c r="D10" i="1"/>
  <c r="M8" i="1"/>
  <c r="M9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E10" i="1" l="1"/>
  <c r="M10" i="1"/>
  <c r="M11" i="1" s="1"/>
  <c r="K6" i="1"/>
  <c r="L5" i="1"/>
  <c r="C17" i="1"/>
  <c r="C18" i="1"/>
  <c r="C13" i="1"/>
  <c r="C6" i="1"/>
  <c r="C9" i="1" s="1"/>
  <c r="C16" i="1" l="1"/>
  <c r="C14" i="1"/>
  <c r="C15" i="1"/>
  <c r="C8" i="1"/>
  <c r="C7" i="1"/>
  <c r="K7" i="1"/>
  <c r="L6" i="1"/>
  <c r="D3" i="1" s="1"/>
  <c r="F10" i="1"/>
  <c r="M12" i="1"/>
  <c r="G10" i="1" s="1"/>
  <c r="C11" i="1"/>
  <c r="I27" i="1" l="1"/>
  <c r="I26" i="1"/>
  <c r="G26" i="1"/>
  <c r="H27" i="1"/>
  <c r="H26" i="1"/>
  <c r="O26" i="1" s="1"/>
  <c r="O27" i="1" s="1"/>
  <c r="D13" i="1"/>
  <c r="E3" i="1"/>
  <c r="D6" i="1"/>
  <c r="D17" i="1"/>
  <c r="D18" i="1"/>
  <c r="K8" i="1"/>
  <c r="L7" i="1"/>
  <c r="J27" i="1"/>
  <c r="G27" i="1"/>
  <c r="J26" i="1"/>
  <c r="N26" i="1" s="1"/>
  <c r="K27" i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M26" i="1" l="1"/>
  <c r="M27" i="1" s="1"/>
  <c r="M28" i="1" s="1"/>
  <c r="K9" i="1"/>
  <c r="L8" i="1"/>
  <c r="D8" i="1"/>
  <c r="D9" i="1"/>
  <c r="D7" i="1"/>
  <c r="D11" i="1" s="1"/>
  <c r="F3" i="1"/>
  <c r="E13" i="1"/>
  <c r="E18" i="1"/>
  <c r="E17" i="1"/>
  <c r="E6" i="1"/>
  <c r="D16" i="1"/>
  <c r="D15" i="1"/>
  <c r="D14" i="1"/>
  <c r="N27" i="1"/>
  <c r="I28" i="1" l="1"/>
  <c r="M29" i="1" s="1"/>
  <c r="I29" i="1"/>
  <c r="H29" i="1"/>
  <c r="H28" i="1"/>
  <c r="O28" i="1" s="1"/>
  <c r="O29" i="1" s="1"/>
  <c r="G3" i="1"/>
  <c r="F6" i="1"/>
  <c r="F13" i="1"/>
  <c r="F18" i="1"/>
  <c r="F17" i="1"/>
  <c r="E16" i="1"/>
  <c r="E15" i="1"/>
  <c r="E14" i="1"/>
  <c r="G28" i="1"/>
  <c r="J28" i="1"/>
  <c r="N28" i="1" s="1"/>
  <c r="G29" i="1"/>
  <c r="J29" i="1"/>
  <c r="E8" i="1"/>
  <c r="E11" i="1" s="1"/>
  <c r="E7" i="1"/>
  <c r="E9" i="1"/>
  <c r="K10" i="1"/>
  <c r="L9" i="1"/>
  <c r="O30" i="1" l="1"/>
  <c r="O31" i="1" s="1"/>
  <c r="I31" i="1"/>
  <c r="I30" i="1"/>
  <c r="H31" i="1"/>
  <c r="H30" i="1"/>
  <c r="N29" i="1"/>
  <c r="M30" i="1"/>
  <c r="M31" i="1" s="1"/>
  <c r="K11" i="1"/>
  <c r="L10" i="1"/>
  <c r="J30" i="1"/>
  <c r="G30" i="1"/>
  <c r="G31" i="1"/>
  <c r="J31" i="1"/>
  <c r="F8" i="1"/>
  <c r="F7" i="1"/>
  <c r="F9" i="1"/>
  <c r="F11" i="1" s="1"/>
  <c r="F16" i="1"/>
  <c r="F15" i="1"/>
  <c r="F14" i="1"/>
  <c r="G6" i="1"/>
  <c r="G18" i="1"/>
  <c r="G13" i="1"/>
  <c r="G17" i="1"/>
  <c r="N30" i="1" l="1"/>
  <c r="N31" i="1" s="1"/>
  <c r="I33" i="1"/>
  <c r="I32" i="1"/>
  <c r="M32" i="1"/>
  <c r="M33" i="1" s="1"/>
  <c r="M34" i="1" s="1"/>
  <c r="H33" i="1"/>
  <c r="H32" i="1"/>
  <c r="O32" i="1" s="1"/>
  <c r="O33" i="1" s="1"/>
  <c r="J33" i="1"/>
  <c r="G32" i="1"/>
  <c r="J32" i="1"/>
  <c r="N32" i="1" s="1"/>
  <c r="G33" i="1"/>
  <c r="G9" i="1"/>
  <c r="G7" i="1"/>
  <c r="G8" i="1"/>
  <c r="G11" i="1"/>
  <c r="K12" i="1"/>
  <c r="L11" i="1"/>
  <c r="G15" i="1"/>
  <c r="G14" i="1"/>
  <c r="G16" i="1"/>
  <c r="O34" i="1" l="1"/>
  <c r="O35" i="1" s="1"/>
  <c r="O36" i="1" s="1"/>
  <c r="O37" i="1" s="1"/>
  <c r="O38" i="1" s="1"/>
  <c r="O39" i="1" s="1"/>
  <c r="O40" i="1" s="1"/>
  <c r="O41" i="1" s="1"/>
  <c r="O42" i="1" s="1"/>
  <c r="N33" i="1"/>
  <c r="I35" i="1"/>
  <c r="I34" i="1"/>
  <c r="I36" i="1" s="1"/>
  <c r="H35" i="1"/>
  <c r="H37" i="1" s="1"/>
  <c r="H39" i="1" s="1"/>
  <c r="H41" i="1" s="1"/>
  <c r="H34" i="1"/>
  <c r="H36" i="1" s="1"/>
  <c r="H38" i="1" s="1"/>
  <c r="H40" i="1" s="1"/>
  <c r="M35" i="1"/>
  <c r="M36" i="1" s="1"/>
  <c r="M37" i="1" s="1"/>
  <c r="G35" i="1"/>
  <c r="G37" i="1" s="1"/>
  <c r="G39" i="1" s="1"/>
  <c r="G41" i="1" s="1"/>
  <c r="J35" i="1"/>
  <c r="J37" i="1" s="1"/>
  <c r="J39" i="1" s="1"/>
  <c r="J41" i="1" s="1"/>
  <c r="J34" i="1"/>
  <c r="G34" i="1"/>
  <c r="G36" i="1" s="1"/>
  <c r="G38" i="1" s="1"/>
  <c r="G40" i="1" s="1"/>
  <c r="K13" i="1"/>
  <c r="L13" i="1" s="1"/>
  <c r="L12" i="1"/>
  <c r="N34" i="1" l="1"/>
  <c r="N35" i="1" s="1"/>
  <c r="N36" i="1" s="1"/>
  <c r="N37" i="1" s="1"/>
  <c r="N38" i="1" s="1"/>
  <c r="N39" i="1" s="1"/>
  <c r="N40" i="1" s="1"/>
  <c r="N41" i="1" s="1"/>
  <c r="N42" i="1" s="1"/>
  <c r="J36" i="1"/>
  <c r="J38" i="1" s="1"/>
  <c r="J40" i="1" s="1"/>
  <c r="I38" i="1"/>
  <c r="I37" i="1"/>
  <c r="M38" i="1" s="1"/>
  <c r="M39" i="1" s="1"/>
  <c r="I39" i="1" l="1"/>
  <c r="M40" i="1" s="1"/>
  <c r="M41" i="1" s="1"/>
  <c r="M42" i="1" s="1"/>
  <c r="I40" i="1"/>
  <c r="I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Todd Myers</author>
  </authors>
  <commentList>
    <comment ref="B3" authorId="0" shapeId="0" xr:uid="{8C050CD5-880E-4A4B-8C1F-24742571C597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28 fiscal note</t>
        </r>
      </text>
    </comment>
    <comment ref="B4" authorId="0" shapeId="0" xr:uid="{95CB02C3-2878-44ED-B560-7461429F3D99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2 fiscal note, removing DNR funds for forest activity</t>
        </r>
      </text>
    </comment>
    <comment ref="C6" authorId="0" shapeId="0" xr:uid="{697E849E-C83F-4534-AE8E-76E03FB300EE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Section 107</t>
        </r>
      </text>
    </comment>
    <comment ref="D6" authorId="0" shapeId="0" xr:uid="{901C03BC-929A-4BD6-8B7F-21AE0441649C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Section 107</t>
        </r>
      </text>
    </comment>
    <comment ref="E6" authorId="0" shapeId="0" xr:uid="{B903C621-E930-4B01-B9FC-3B4673896008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Section 107</t>
        </r>
      </text>
    </comment>
    <comment ref="F6" authorId="0" shapeId="0" xr:uid="{5BFAB382-F90A-4621-B43D-5B4C19F7E938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Section 107</t>
        </r>
      </text>
    </comment>
    <comment ref="G6" authorId="0" shapeId="0" xr:uid="{B5A18386-4DA3-4CA0-97AB-C3DF9B00FD59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Section 107</t>
        </r>
      </text>
    </comment>
    <comment ref="B8" authorId="0" shapeId="0" xr:uid="{8C66B5E9-73CF-4470-A6D5-3CE74C21395C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 403 (1)</t>
        </r>
      </text>
    </comment>
    <comment ref="B9" authorId="0" shapeId="0" xr:uid="{6A4B4C13-8812-45A7-B525-79A4578E0866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Sec 403 (2)</t>
        </r>
      </text>
    </comment>
    <comment ref="C10" authorId="0" shapeId="0" xr:uid="{02478B0B-D4D5-48E2-AD94-01A8C0E9F407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56 of fiscal note
</t>
        </r>
      </text>
    </comment>
    <comment ref="D10" authorId="0" shapeId="0" xr:uid="{7F9255CC-0659-4502-82C6-3A09A9DD2963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56 of fiscal note
</t>
        </r>
      </text>
    </comment>
    <comment ref="E10" authorId="0" shapeId="0" xr:uid="{5EBA908E-CAB1-43BA-9B23-12DE25846B01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56 of fiscal note
</t>
        </r>
      </text>
    </comment>
    <comment ref="F10" authorId="0" shapeId="0" xr:uid="{FF00FECC-404A-43AB-9A6F-CE08FABB9BD0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56 of fiscal note
</t>
        </r>
      </text>
    </comment>
    <comment ref="G10" authorId="0" shapeId="0" xr:uid="{22E79A64-B3F0-4C82-9A2C-0797A90AC035}">
      <text>
        <r>
          <rPr>
            <b/>
            <sz val="9"/>
            <color indexed="81"/>
            <rFont val="Tahoma"/>
            <family val="2"/>
          </rPr>
          <t>Todd Myers:</t>
        </r>
        <r>
          <rPr>
            <sz val="9"/>
            <color indexed="81"/>
            <rFont val="Tahoma"/>
            <family val="2"/>
          </rPr>
          <t xml:space="preserve">
p. 56 of fiscal note
</t>
        </r>
      </text>
    </comment>
  </commentList>
</comments>
</file>

<file path=xl/sharedStrings.xml><?xml version="1.0" encoding="utf-8"?>
<sst xmlns="http://schemas.openxmlformats.org/spreadsheetml/2006/main" count="39" uniqueCount="39">
  <si>
    <t>Total Revenue</t>
  </si>
  <si>
    <t>Energy Transformation Account</t>
  </si>
  <si>
    <t>Water and Natural Resources</t>
  </si>
  <si>
    <t>Transition Assistance</t>
  </si>
  <si>
    <t>Rural Economic Development</t>
  </si>
  <si>
    <t>Section 502 Expenditures</t>
  </si>
  <si>
    <t>Electrification of transporation in rural communities</t>
  </si>
  <si>
    <t>Ecology for Water</t>
  </si>
  <si>
    <t>Fire</t>
  </si>
  <si>
    <t>Forest Resilience</t>
  </si>
  <si>
    <t>2019-21 Biennium</t>
  </si>
  <si>
    <t>2021-23 Biennium</t>
  </si>
  <si>
    <t>Reductions at $50/MT</t>
  </si>
  <si>
    <t>2023-25 Biennium</t>
  </si>
  <si>
    <t>Reductions at $100/MT</t>
  </si>
  <si>
    <t>Reductions at $20/MT</t>
  </si>
  <si>
    <t>2025-27 Biennium</t>
  </si>
  <si>
    <t>2027-29 Biennium</t>
  </si>
  <si>
    <t>MMT Reductions Necessary - Paris Target</t>
  </si>
  <si>
    <t>Cumulative $20 reductions at 90% effectiveness</t>
  </si>
  <si>
    <t>Utility Clean Energy Investment Plans</t>
  </si>
  <si>
    <t>Reductions at $30/MT</t>
  </si>
  <si>
    <t>Administration</t>
  </si>
  <si>
    <t>Carbon Pollution Reduction Account</t>
  </si>
  <si>
    <t>New Bill</t>
  </si>
  <si>
    <t>Clean Energy Acct: Offsetting lost revenue</t>
  </si>
  <si>
    <t>Clean Energy Investment</t>
  </si>
  <si>
    <t>Carbon Reduction Funds</t>
  </si>
  <si>
    <t>Paris Targets (2018 Projection)</t>
  </si>
  <si>
    <t>Paris Targets (2015 Baseline)</t>
  </si>
  <si>
    <t>MMT - Paris (2018 Projection)</t>
  </si>
  <si>
    <t>MMT Reductions Necessary - Paris (2018 Projection)</t>
  </si>
  <si>
    <t>MMT - Paris Targets (2015 Baseline)</t>
  </si>
  <si>
    <t>Cumulative $30 reductions at 90% effectiveness</t>
  </si>
  <si>
    <t>Cumulative $50 reductions at 90% effectiveness</t>
  </si>
  <si>
    <t>Vs 2015</t>
  </si>
  <si>
    <t>Vs 2018</t>
  </si>
  <si>
    <t>Cumulative reductions to meet Paris target (2015) Baseline</t>
  </si>
  <si>
    <t>Cumulative reductions to meet Paris target (2018)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</si>
</sst>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0.0%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164" fontId="1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/>
    <xf numFmtId="1" fontId="2" fillId="0" borderId="0" xfId="0" applyNumberFormat="1" applyFont="1"/>
    <xf numFmtId="1" fontId="0" fillId="0" borderId="0" xfId="0" applyNumberFormat="1" applyFill="1"/>
    <xf numFmtId="1" fontId="2" fillId="0" borderId="0" xfId="0" applyNumberFormat="1" applyFont="1" applyFill="1"/>
    <xf numFmtId="167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C37F-7AC1-4953-8828-70EC8EE75BBD}">
  <dimension ref="B2:P50"/>
  <sheetViews>
    <sheetView tabSelected="1" topLeftCell="C19" zoomScale="155" zoomScaleNormal="155" workbookViewId="0">
      <selection activeCell="I26" sqref="I26"/>
    </sheetView>
  </sheetViews>
  <sheetFormatPr defaultRowHeight="15" x14ac:dyDescent="0.25"/>
  <cols>
    <col min="1" max="1" width="3.5703125" customWidth="1"/>
    <col min="2" max="2" width="47.5703125" style="3" bestFit="1" customWidth="1"/>
    <col min="3" max="3" width="14.85546875" bestFit="1" customWidth="1"/>
    <col min="4" max="8" width="16.85546875" bestFit="1" customWidth="1"/>
    <col min="9" max="9" width="10.85546875" customWidth="1"/>
    <col min="10" max="10" width="12.28515625" customWidth="1"/>
    <col min="11" max="11" width="13" customWidth="1"/>
    <col min="12" max="12" width="14.140625" customWidth="1"/>
    <col min="13" max="13" width="13" bestFit="1" customWidth="1"/>
    <col min="14" max="14" width="14.5703125" customWidth="1"/>
    <col min="15" max="15" width="12.140625" customWidth="1"/>
  </cols>
  <sheetData>
    <row r="2" spans="2:13" ht="45" x14ac:dyDescent="0.25">
      <c r="B2" s="2" t="s">
        <v>0</v>
      </c>
      <c r="C2" s="1" t="s">
        <v>10</v>
      </c>
      <c r="D2" s="1" t="s">
        <v>11</v>
      </c>
      <c r="E2" s="2" t="s">
        <v>13</v>
      </c>
      <c r="F2" s="2" t="s">
        <v>16</v>
      </c>
      <c r="G2" s="2" t="s">
        <v>17</v>
      </c>
      <c r="K2" t="s">
        <v>24</v>
      </c>
      <c r="M2" s="24" t="s">
        <v>26</v>
      </c>
    </row>
    <row r="3" spans="2:13" x14ac:dyDescent="0.25">
      <c r="B3" s="2" t="s">
        <v>23</v>
      </c>
      <c r="C3" s="4">
        <f>(290735000*L3)+(346878000*L4)</f>
        <v>747791700</v>
      </c>
      <c r="D3" s="4">
        <f>(402887000*L5)+(464348000*L6)</f>
        <v>953909678.57142866</v>
      </c>
      <c r="E3" s="14">
        <f>D3*(D3/C3)</f>
        <v>1216841100.098124</v>
      </c>
      <c r="F3" s="14">
        <f>E3*(E3/D3)</f>
        <v>1552245769.3326967</v>
      </c>
      <c r="G3" s="14">
        <f>F3*(F3/E3)</f>
        <v>1980099889.9667015</v>
      </c>
      <c r="I3" s="12">
        <v>2019</v>
      </c>
      <c r="J3" s="6">
        <v>10</v>
      </c>
      <c r="K3" s="22">
        <f>12</f>
        <v>12</v>
      </c>
      <c r="L3" s="23">
        <f>K3/J3</f>
        <v>1.2</v>
      </c>
      <c r="M3" s="6">
        <v>150000000</v>
      </c>
    </row>
    <row r="4" spans="2:13" x14ac:dyDescent="0.25">
      <c r="B4" s="7" t="s">
        <v>22</v>
      </c>
      <c r="C4" s="8">
        <f>35202847-24894700</f>
        <v>10308147</v>
      </c>
      <c r="D4" s="8">
        <f>43292006-33512100</f>
        <v>9779906</v>
      </c>
      <c r="E4" s="8">
        <v>9000000</v>
      </c>
      <c r="F4" s="8">
        <v>9000000</v>
      </c>
      <c r="G4" s="8">
        <v>9000000</v>
      </c>
      <c r="I4" s="12">
        <v>2020</v>
      </c>
      <c r="J4" s="6">
        <v>12</v>
      </c>
      <c r="K4" s="22">
        <f>K3+1.8</f>
        <v>13.8</v>
      </c>
      <c r="L4" s="23">
        <f t="shared" ref="L4:L13" si="0">K4/J4</f>
        <v>1.1500000000000001</v>
      </c>
      <c r="M4" s="6">
        <f>M3+((200000000/10)*1)</f>
        <v>170000000</v>
      </c>
    </row>
    <row r="5" spans="2:13" s="17" customFormat="1" x14ac:dyDescent="0.25">
      <c r="B5" s="15"/>
      <c r="C5" s="16"/>
      <c r="D5" s="16"/>
      <c r="E5" s="16"/>
      <c r="F5" s="16"/>
      <c r="G5" s="16"/>
      <c r="I5" s="19">
        <v>2021</v>
      </c>
      <c r="J5" s="16">
        <v>14</v>
      </c>
      <c r="K5" s="22">
        <f t="shared" ref="K5:K13" si="1">K4+1.8</f>
        <v>15.600000000000001</v>
      </c>
      <c r="L5" s="23">
        <f t="shared" si="0"/>
        <v>1.1142857142857143</v>
      </c>
      <c r="M5" s="6">
        <f t="shared" ref="M5:M12" si="2">M4+((200000000/10)*1)</f>
        <v>190000000</v>
      </c>
    </row>
    <row r="6" spans="2:13" x14ac:dyDescent="0.25">
      <c r="B6" s="3" t="s">
        <v>1</v>
      </c>
      <c r="C6" s="6">
        <f>(C3-C4)*0.5</f>
        <v>368741776.5</v>
      </c>
      <c r="D6" s="6">
        <f t="shared" ref="D6:G6" si="3">(D3-D4)*0.5</f>
        <v>472064886.28571433</v>
      </c>
      <c r="E6" s="6">
        <f t="shared" si="3"/>
        <v>603920550.04906201</v>
      </c>
      <c r="F6" s="6">
        <f t="shared" si="3"/>
        <v>771622884.66634834</v>
      </c>
      <c r="G6" s="6">
        <f t="shared" si="3"/>
        <v>985549944.98335075</v>
      </c>
      <c r="I6" s="20">
        <v>2022</v>
      </c>
      <c r="J6" s="16">
        <v>16</v>
      </c>
      <c r="K6" s="22">
        <f t="shared" si="1"/>
        <v>17.400000000000002</v>
      </c>
      <c r="L6" s="23">
        <f t="shared" si="0"/>
        <v>1.0875000000000001</v>
      </c>
      <c r="M6" s="6">
        <f t="shared" si="2"/>
        <v>210000000</v>
      </c>
    </row>
    <row r="7" spans="2:13" x14ac:dyDescent="0.25">
      <c r="B7" s="7" t="s">
        <v>5</v>
      </c>
      <c r="C7" s="8">
        <f t="shared" ref="C7:G7" si="4">C6*0.1</f>
        <v>36874177.649999999</v>
      </c>
      <c r="D7" s="8">
        <f t="shared" si="4"/>
        <v>47206488.628571436</v>
      </c>
      <c r="E7" s="8">
        <f t="shared" si="4"/>
        <v>60392055.004906207</v>
      </c>
      <c r="F7" s="8">
        <f t="shared" si="4"/>
        <v>77162288.46663484</v>
      </c>
      <c r="G7" s="8">
        <f t="shared" si="4"/>
        <v>98554994.498335078</v>
      </c>
      <c r="I7" s="20">
        <v>2023</v>
      </c>
      <c r="J7" s="16">
        <v>18</v>
      </c>
      <c r="K7" s="22">
        <f t="shared" si="1"/>
        <v>19.200000000000003</v>
      </c>
      <c r="L7" s="23">
        <f t="shared" si="0"/>
        <v>1.0666666666666669</v>
      </c>
      <c r="M7" s="6">
        <f t="shared" si="2"/>
        <v>230000000</v>
      </c>
    </row>
    <row r="8" spans="2:13" x14ac:dyDescent="0.25">
      <c r="B8" s="7" t="s">
        <v>25</v>
      </c>
      <c r="C8" s="8">
        <f>C6*0.3*0.85</f>
        <v>94029153.007499993</v>
      </c>
      <c r="D8" s="8">
        <f>D6*0.3*0.85</f>
        <v>120376546.00285715</v>
      </c>
      <c r="E8" s="8">
        <f>E6*0.3*0.85</f>
        <v>153999740.26251081</v>
      </c>
      <c r="F8" s="8">
        <f>F6*0.3*0.85</f>
        <v>196763835.58991882</v>
      </c>
      <c r="G8" s="8">
        <f>G6*0.3*0.85</f>
        <v>251315235.97075441</v>
      </c>
      <c r="I8" s="20">
        <v>2024</v>
      </c>
      <c r="J8" s="16">
        <v>20</v>
      </c>
      <c r="K8" s="22">
        <f t="shared" si="1"/>
        <v>21.000000000000004</v>
      </c>
      <c r="L8" s="23">
        <f t="shared" si="0"/>
        <v>1.0500000000000003</v>
      </c>
      <c r="M8" s="6">
        <f t="shared" si="2"/>
        <v>250000000</v>
      </c>
    </row>
    <row r="9" spans="2:13" x14ac:dyDescent="0.25">
      <c r="B9" s="7" t="s">
        <v>6</v>
      </c>
      <c r="C9" s="8">
        <f>C6*0.3*0.15</f>
        <v>16593379.942499999</v>
      </c>
      <c r="D9" s="8">
        <f>D6*0.3*0.15</f>
        <v>21242919.882857144</v>
      </c>
      <c r="E9" s="8">
        <f>E6*0.3*0.15</f>
        <v>27176424.75220779</v>
      </c>
      <c r="F9" s="8">
        <f>F6*0.3*0.15</f>
        <v>34723029.809985675</v>
      </c>
      <c r="G9" s="8">
        <f>G6*0.3*0.15</f>
        <v>44349747.524250776</v>
      </c>
      <c r="I9" s="20">
        <v>2025</v>
      </c>
      <c r="J9" s="16">
        <v>22</v>
      </c>
      <c r="K9" s="22">
        <f t="shared" si="1"/>
        <v>22.800000000000004</v>
      </c>
      <c r="L9" s="23">
        <f t="shared" si="0"/>
        <v>1.0363636363636366</v>
      </c>
      <c r="M9" s="6">
        <f t="shared" si="2"/>
        <v>270000000</v>
      </c>
    </row>
    <row r="10" spans="2:13" x14ac:dyDescent="0.25">
      <c r="B10" s="25" t="s">
        <v>20</v>
      </c>
      <c r="C10" s="26">
        <f>M3+M4</f>
        <v>320000000</v>
      </c>
      <c r="D10" s="26">
        <f>M5+M6</f>
        <v>400000000</v>
      </c>
      <c r="E10" s="26">
        <f>M7+M8</f>
        <v>480000000</v>
      </c>
      <c r="F10" s="26">
        <f>M9+M10</f>
        <v>560000000</v>
      </c>
      <c r="G10" s="26">
        <f>M11+M12</f>
        <v>640000000</v>
      </c>
      <c r="I10" s="20">
        <v>2026</v>
      </c>
      <c r="J10" s="18">
        <v>24</v>
      </c>
      <c r="K10" s="22">
        <f t="shared" si="1"/>
        <v>24.600000000000005</v>
      </c>
      <c r="L10" s="23">
        <f t="shared" si="0"/>
        <v>1.0250000000000001</v>
      </c>
      <c r="M10" s="6">
        <f t="shared" si="2"/>
        <v>290000000</v>
      </c>
    </row>
    <row r="11" spans="2:13" x14ac:dyDescent="0.25">
      <c r="B11" s="2" t="s">
        <v>27</v>
      </c>
      <c r="C11" s="4">
        <f>C6-(SUM(C7:C9))+C10</f>
        <v>541245065.89999998</v>
      </c>
      <c r="D11" s="4">
        <f>D6-(SUM(D7:D9))+D10</f>
        <v>683238931.77142859</v>
      </c>
      <c r="E11" s="4">
        <f>E6-(SUM(E7:E9))+E10</f>
        <v>842352330.02943718</v>
      </c>
      <c r="F11" s="4">
        <f>F6-(SUM(F7:F9))+F10</f>
        <v>1022973730.799809</v>
      </c>
      <c r="G11" s="4">
        <f>G6-(SUM(G7:G9))+G10</f>
        <v>1231329966.9900105</v>
      </c>
      <c r="I11" s="21">
        <v>2027</v>
      </c>
      <c r="J11" s="16">
        <v>26</v>
      </c>
      <c r="K11" s="22">
        <f t="shared" si="1"/>
        <v>26.400000000000006</v>
      </c>
      <c r="L11" s="23">
        <f t="shared" si="0"/>
        <v>1.0153846153846156</v>
      </c>
      <c r="M11" s="6">
        <f t="shared" si="2"/>
        <v>310000000</v>
      </c>
    </row>
    <row r="12" spans="2:13" x14ac:dyDescent="0.25">
      <c r="I12" s="20">
        <v>2028</v>
      </c>
      <c r="J12" s="16">
        <v>28</v>
      </c>
      <c r="K12" s="22">
        <f t="shared" si="1"/>
        <v>28.200000000000006</v>
      </c>
      <c r="L12" s="23">
        <f t="shared" si="0"/>
        <v>1.0071428571428573</v>
      </c>
      <c r="M12" s="6">
        <f t="shared" si="2"/>
        <v>330000000</v>
      </c>
    </row>
    <row r="13" spans="2:13" x14ac:dyDescent="0.25">
      <c r="B13" s="3" t="s">
        <v>2</v>
      </c>
      <c r="C13" s="6">
        <f>(C3-C4)*0.2</f>
        <v>147496710.59999999</v>
      </c>
      <c r="D13" s="6">
        <f t="shared" ref="D13:G13" si="5">(D3-D4)*0.2</f>
        <v>188825954.51428574</v>
      </c>
      <c r="E13" s="6">
        <f t="shared" si="5"/>
        <v>241568220.01962483</v>
      </c>
      <c r="F13" s="6">
        <f t="shared" si="5"/>
        <v>308649153.86653936</v>
      </c>
      <c r="G13" s="6">
        <f t="shared" si="5"/>
        <v>394219977.99334031</v>
      </c>
      <c r="I13" s="20">
        <v>2029</v>
      </c>
      <c r="J13" s="16">
        <v>30</v>
      </c>
      <c r="K13" s="22">
        <f t="shared" si="1"/>
        <v>30.000000000000007</v>
      </c>
      <c r="L13" s="23">
        <f t="shared" si="0"/>
        <v>1.0000000000000002</v>
      </c>
      <c r="M13" s="6">
        <v>350000000</v>
      </c>
    </row>
    <row r="14" spans="2:13" x14ac:dyDescent="0.25">
      <c r="B14" s="7" t="s">
        <v>7</v>
      </c>
      <c r="C14" s="8">
        <f>C13*0.5</f>
        <v>73748355.299999997</v>
      </c>
      <c r="D14" s="8">
        <f t="shared" ref="D14:G14" si="6">D13*0.5</f>
        <v>94412977.257142872</v>
      </c>
      <c r="E14" s="8">
        <f t="shared" si="6"/>
        <v>120784110.00981241</v>
      </c>
      <c r="F14" s="8">
        <f t="shared" si="6"/>
        <v>154324576.93326968</v>
      </c>
      <c r="G14" s="8">
        <f t="shared" si="6"/>
        <v>197109988.99667016</v>
      </c>
    </row>
    <row r="15" spans="2:13" x14ac:dyDescent="0.25">
      <c r="B15" s="7" t="s">
        <v>8</v>
      </c>
      <c r="C15" s="8">
        <f>C13*0.5*0.25</f>
        <v>18437088.824999999</v>
      </c>
      <c r="D15" s="8">
        <f t="shared" ref="D15:G15" si="7">D13*0.5*0.25</f>
        <v>23603244.314285718</v>
      </c>
      <c r="E15" s="8">
        <f t="shared" si="7"/>
        <v>30196027.502453104</v>
      </c>
      <c r="F15" s="8">
        <f t="shared" si="7"/>
        <v>38581144.23331742</v>
      </c>
      <c r="G15" s="8">
        <f t="shared" si="7"/>
        <v>49277497.249167539</v>
      </c>
    </row>
    <row r="16" spans="2:13" x14ac:dyDescent="0.25">
      <c r="B16" s="7" t="s">
        <v>9</v>
      </c>
      <c r="C16" s="8">
        <f>C13*0.5*0.75</f>
        <v>55311266.474999994</v>
      </c>
      <c r="D16" s="8">
        <f t="shared" ref="D16:G16" si="8">D13*0.5*0.75</f>
        <v>70809732.942857146</v>
      </c>
      <c r="E16" s="8">
        <f t="shared" si="8"/>
        <v>90588082.507359311</v>
      </c>
      <c r="F16" s="8">
        <f t="shared" si="8"/>
        <v>115743432.69995226</v>
      </c>
      <c r="G16" s="8">
        <f t="shared" si="8"/>
        <v>147832491.74750262</v>
      </c>
    </row>
    <row r="17" spans="2:16" x14ac:dyDescent="0.25">
      <c r="B17" s="3" t="s">
        <v>3</v>
      </c>
      <c r="C17" s="6">
        <f>(C3-C4)*0.15</f>
        <v>110622532.95</v>
      </c>
      <c r="D17" s="6">
        <f t="shared" ref="D17:G17" si="9">(D3-D4)*0.15</f>
        <v>141619465.88571429</v>
      </c>
      <c r="E17" s="6">
        <f t="shared" si="9"/>
        <v>181176165.01471859</v>
      </c>
      <c r="F17" s="6">
        <f t="shared" si="9"/>
        <v>231486865.39990449</v>
      </c>
      <c r="G17" s="6">
        <f t="shared" si="9"/>
        <v>295664983.49500519</v>
      </c>
    </row>
    <row r="18" spans="2:16" x14ac:dyDescent="0.25">
      <c r="B18" s="3" t="s">
        <v>4</v>
      </c>
      <c r="C18" s="6">
        <f>(C3-C4)*0.15</f>
        <v>110622532.95</v>
      </c>
      <c r="D18" s="6">
        <f t="shared" ref="D18:G18" si="10">(D3-D4)*0.15</f>
        <v>141619465.88571429</v>
      </c>
      <c r="E18" s="6">
        <f t="shared" si="10"/>
        <v>181176165.01471859</v>
      </c>
      <c r="F18" s="6">
        <f t="shared" si="10"/>
        <v>231486865.39990449</v>
      </c>
      <c r="G18" s="6">
        <f t="shared" si="10"/>
        <v>295664983.49500519</v>
      </c>
    </row>
    <row r="19" spans="2:16" x14ac:dyDescent="0.25">
      <c r="C19" s="5"/>
    </row>
    <row r="20" spans="2:16" x14ac:dyDescent="0.25">
      <c r="C20" s="1">
        <v>1990</v>
      </c>
      <c r="D20" s="1">
        <v>2018</v>
      </c>
      <c r="E20" s="1">
        <v>2035</v>
      </c>
      <c r="F20" s="1">
        <v>2050</v>
      </c>
    </row>
    <row r="21" spans="2:16" x14ac:dyDescent="0.25">
      <c r="B21" s="2" t="s">
        <v>28</v>
      </c>
      <c r="C21">
        <v>88.4</v>
      </c>
      <c r="D21">
        <v>93.5</v>
      </c>
      <c r="E21">
        <f>C21*0.6</f>
        <v>53.04</v>
      </c>
      <c r="F21">
        <f>C21*0.2</f>
        <v>17.680000000000003</v>
      </c>
    </row>
    <row r="22" spans="2:16" x14ac:dyDescent="0.25">
      <c r="B22" s="2" t="s">
        <v>29</v>
      </c>
      <c r="C22">
        <v>88.4</v>
      </c>
      <c r="D22">
        <v>98.3</v>
      </c>
      <c r="E22">
        <f>C22*0.6</f>
        <v>53.04</v>
      </c>
      <c r="F22">
        <f>C22*0.2</f>
        <v>17.680000000000003</v>
      </c>
    </row>
    <row r="23" spans="2:16" ht="90" x14ac:dyDescent="0.25">
      <c r="B23"/>
      <c r="C23" s="10" t="s">
        <v>30</v>
      </c>
      <c r="D23" s="10" t="s">
        <v>31</v>
      </c>
      <c r="E23" s="10" t="s">
        <v>32</v>
      </c>
      <c r="F23" s="10" t="s">
        <v>18</v>
      </c>
      <c r="G23" s="11" t="s">
        <v>14</v>
      </c>
      <c r="H23" s="11" t="s">
        <v>12</v>
      </c>
      <c r="I23" s="11" t="s">
        <v>15</v>
      </c>
      <c r="J23" s="11" t="s">
        <v>21</v>
      </c>
      <c r="K23" s="11" t="s">
        <v>37</v>
      </c>
      <c r="L23" s="11" t="s">
        <v>38</v>
      </c>
      <c r="M23" s="11" t="s">
        <v>19</v>
      </c>
      <c r="N23" s="11" t="s">
        <v>33</v>
      </c>
      <c r="O23" s="11" t="s">
        <v>34</v>
      </c>
    </row>
    <row r="24" spans="2:16" x14ac:dyDescent="0.25">
      <c r="B24" s="1">
        <v>2018</v>
      </c>
      <c r="C24">
        <v>93.5</v>
      </c>
      <c r="E24">
        <v>98.3</v>
      </c>
    </row>
    <row r="25" spans="2:16" x14ac:dyDescent="0.25">
      <c r="B25" s="1">
        <v>2019</v>
      </c>
      <c r="C25" s="9">
        <v>93.4</v>
      </c>
      <c r="E25" s="9">
        <v>98.3</v>
      </c>
    </row>
    <row r="26" spans="2:16" x14ac:dyDescent="0.25">
      <c r="B26" s="1">
        <v>2020</v>
      </c>
      <c r="C26" s="9">
        <f>$C$25-((($C$25-$C$41)/16)*1)</f>
        <v>90.877500000000012</v>
      </c>
      <c r="D26" s="9">
        <f>((($C$25-$C$41)/16)*1)</f>
        <v>2.5225000000000004</v>
      </c>
      <c r="E26" s="9">
        <f>$E$25-((($E$25-$E$41)/16)*1)</f>
        <v>95.46875</v>
      </c>
      <c r="F26" s="9">
        <f>((($E$25-$E$41)/16)*1)</f>
        <v>2.8312499999999998</v>
      </c>
      <c r="G26" s="9">
        <f>(($C$11/100)/1000000)/2</f>
        <v>2.7062253295000001</v>
      </c>
      <c r="H26" s="9">
        <f>(($C$11/50)/1000000)/2</f>
        <v>5.4124506590000001</v>
      </c>
      <c r="I26" s="9">
        <f>(($C$11/20)/1000000)/2</f>
        <v>13.531126647499999</v>
      </c>
      <c r="J26" s="9">
        <f>(($C$11/30)/1000000)/2</f>
        <v>9.0207510983333332</v>
      </c>
      <c r="K26" s="9">
        <f>F26</f>
        <v>2.8312499999999998</v>
      </c>
      <c r="L26" s="9">
        <f>D26</f>
        <v>2.5225000000000004</v>
      </c>
      <c r="M26" s="9">
        <f>$I26*0.9</f>
        <v>12.178013982749999</v>
      </c>
      <c r="N26" s="9">
        <f>J26*0.9</f>
        <v>8.1186759884999997</v>
      </c>
      <c r="O26" s="9">
        <f>H26*0.9</f>
        <v>4.8712055931</v>
      </c>
      <c r="P26" s="9"/>
    </row>
    <row r="27" spans="2:16" x14ac:dyDescent="0.25">
      <c r="B27" s="1">
        <v>2021</v>
      </c>
      <c r="C27" s="9">
        <f>$C$25-((($C$25-$C$41)/16)*2)</f>
        <v>88.355000000000004</v>
      </c>
      <c r="D27" s="9">
        <f>((($C$25-$C$41)/16)*2)</f>
        <v>5.0450000000000008</v>
      </c>
      <c r="E27" s="9">
        <f>$E$25-((($E$25-$E$41)/16)*2)</f>
        <v>92.637500000000003</v>
      </c>
      <c r="F27" s="9">
        <f>((($E$25-$E$41)/16)*2)</f>
        <v>5.6624999999999996</v>
      </c>
      <c r="G27" s="9">
        <f>(($C$11/100)/1000000)/2</f>
        <v>2.7062253295000001</v>
      </c>
      <c r="H27" s="9">
        <f>(($C$11/50)/1000000)/2</f>
        <v>5.4124506590000001</v>
      </c>
      <c r="I27" s="9">
        <f>(($C$11/20)/1000000)/2</f>
        <v>13.531126647499999</v>
      </c>
      <c r="J27" s="9">
        <f>(($C$11/30)/1000000)/2</f>
        <v>9.0207510983333332</v>
      </c>
      <c r="K27" s="9">
        <f t="shared" ref="K27:K41" si="11">K26+F27</f>
        <v>8.4937499999999986</v>
      </c>
      <c r="L27" s="9">
        <f>L26+D27</f>
        <v>7.5675000000000008</v>
      </c>
      <c r="M27" s="9">
        <f>M26+(I26*0.9)</f>
        <v>24.356027965499997</v>
      </c>
      <c r="N27" s="9">
        <f>N26+(J27*0.9)</f>
        <v>16.237351976999999</v>
      </c>
      <c r="O27" s="9">
        <f>O26+(H27*0.9)</f>
        <v>9.7424111862</v>
      </c>
    </row>
    <row r="28" spans="2:16" x14ac:dyDescent="0.25">
      <c r="B28" s="1">
        <v>2022</v>
      </c>
      <c r="C28" s="9">
        <f>$C$25-((($C$25-$C$41)/16)*3)</f>
        <v>85.83250000000001</v>
      </c>
      <c r="D28" s="9">
        <f>((($C$25-$C$41)/16)*3)</f>
        <v>7.5675000000000008</v>
      </c>
      <c r="E28" s="9">
        <f>$E$25-((($E$25-$E$41)/16)*3)</f>
        <v>89.806250000000006</v>
      </c>
      <c r="F28" s="9">
        <f>((($E$25-$E$41)/16)*3)</f>
        <v>8.4937499999999986</v>
      </c>
      <c r="G28" s="9">
        <f>(($D$11/100)/1000000)/2</f>
        <v>3.416194658857143</v>
      </c>
      <c r="H28" s="9">
        <f>(($D$11/50)/1000000)/2</f>
        <v>6.832389317714286</v>
      </c>
      <c r="I28" s="9">
        <f>(($D$11/20)/1000000)/2</f>
        <v>17.080973294285716</v>
      </c>
      <c r="J28" s="9">
        <f>(($D$11/30)/1000000)/2</f>
        <v>11.387315529523811</v>
      </c>
      <c r="K28" s="9">
        <f t="shared" si="11"/>
        <v>16.987499999999997</v>
      </c>
      <c r="L28" s="9">
        <f t="shared" ref="L28:L41" si="12">L27+D28</f>
        <v>15.135000000000002</v>
      </c>
      <c r="M28" s="9">
        <f>M27+(I27*0.9)</f>
        <v>36.534041948249993</v>
      </c>
      <c r="N28" s="9">
        <f>N27+(J28*0.9)</f>
        <v>26.485935953571428</v>
      </c>
      <c r="O28" s="9">
        <f>O27+(H28*0.9)</f>
        <v>15.891561572142859</v>
      </c>
    </row>
    <row r="29" spans="2:16" x14ac:dyDescent="0.25">
      <c r="B29" s="1">
        <v>2023</v>
      </c>
      <c r="C29" s="9">
        <f>$C$25-((($C$25-$C$41)/16)*4)</f>
        <v>83.31</v>
      </c>
      <c r="D29" s="9">
        <f>((($C$25-$C$41)/16)*4)</f>
        <v>10.090000000000002</v>
      </c>
      <c r="E29" s="9">
        <f>$E$25-((($E$25-$E$41)/16)*4)</f>
        <v>86.974999999999994</v>
      </c>
      <c r="F29" s="9">
        <f>((($E$25-$E$41)/16)*4)</f>
        <v>11.324999999999999</v>
      </c>
      <c r="G29" s="9">
        <f>(($D$11/100)/1000000)/2</f>
        <v>3.416194658857143</v>
      </c>
      <c r="H29" s="9">
        <f>(($D$11/50)/1000000)/2</f>
        <v>6.832389317714286</v>
      </c>
      <c r="I29" s="9">
        <f>(($D$11/20)/1000000)/2</f>
        <v>17.080973294285716</v>
      </c>
      <c r="J29" s="9">
        <f>(($D$11/30)/1000000)/2</f>
        <v>11.387315529523811</v>
      </c>
      <c r="K29" s="9">
        <f t="shared" si="11"/>
        <v>28.312499999999996</v>
      </c>
      <c r="L29" s="9">
        <f t="shared" si="12"/>
        <v>25.225000000000001</v>
      </c>
      <c r="M29" s="9">
        <f>M28+(I28*0.9)</f>
        <v>51.906917913107137</v>
      </c>
      <c r="N29" s="9">
        <f>N28+(J29*0.9)</f>
        <v>36.734519930142859</v>
      </c>
      <c r="O29" s="9">
        <f>O28+(H29*0.9)</f>
        <v>22.040711958085716</v>
      </c>
    </row>
    <row r="30" spans="2:16" x14ac:dyDescent="0.25">
      <c r="B30" s="1">
        <v>2024</v>
      </c>
      <c r="C30" s="9">
        <f>$C$25-((($C$25-$C$41)/16)*5)</f>
        <v>80.787500000000009</v>
      </c>
      <c r="D30" s="9">
        <f>((($C$25-$C$41)/16)*5)</f>
        <v>12.612500000000002</v>
      </c>
      <c r="E30" s="9">
        <f>$E$25-((($E$25-$E$41)/16)*5)</f>
        <v>84.143749999999997</v>
      </c>
      <c r="F30" s="9">
        <f>((($E$25-$E$41)/16)*5)</f>
        <v>14.15625</v>
      </c>
      <c r="G30" s="9">
        <f>(($E$11/100)/1000000)/2</f>
        <v>4.211761650147186</v>
      </c>
      <c r="H30" s="9">
        <f>(($E$11/50)/1000000)/2</f>
        <v>8.4235233002943719</v>
      </c>
      <c r="I30" s="9">
        <f>(($E$11/20)/1000000)/2</f>
        <v>21.058808250735932</v>
      </c>
      <c r="J30" s="9">
        <f>(($E$11/30)/1000000)/2</f>
        <v>14.039205500490619</v>
      </c>
      <c r="K30" s="9">
        <f t="shared" si="11"/>
        <v>42.46875</v>
      </c>
      <c r="L30" s="9">
        <f t="shared" si="12"/>
        <v>37.837500000000006</v>
      </c>
      <c r="M30" s="9">
        <f>M29+(I29*0.9)</f>
        <v>67.279793877964281</v>
      </c>
      <c r="N30" s="9">
        <f>N29+(J30*0.9)</f>
        <v>49.369804880584418</v>
      </c>
      <c r="O30" s="9">
        <f>O29+(H30*0.9)</f>
        <v>29.621882928350651</v>
      </c>
    </row>
    <row r="31" spans="2:16" x14ac:dyDescent="0.25">
      <c r="B31" s="1">
        <v>2025</v>
      </c>
      <c r="C31" s="9">
        <f>$C$25-((($C$25-$C$41)/16)*6)</f>
        <v>78.265000000000001</v>
      </c>
      <c r="D31" s="9">
        <f>((($C$25-$C$41)/16)*6)</f>
        <v>15.135000000000002</v>
      </c>
      <c r="E31" s="9">
        <f>$E$25-((($E$25-$E$41)/16)*6)</f>
        <v>81.3125</v>
      </c>
      <c r="F31" s="9">
        <f>((($E$25-$E$41)/16)*6)</f>
        <v>16.987499999999997</v>
      </c>
      <c r="G31" s="9">
        <f>(($E$11/100)/1000000)/2</f>
        <v>4.211761650147186</v>
      </c>
      <c r="H31" s="9">
        <f>(($E$11/50)/1000000)/2</f>
        <v>8.4235233002943719</v>
      </c>
      <c r="I31" s="9">
        <f>(($E$11/20)/1000000)/2</f>
        <v>21.058808250735932</v>
      </c>
      <c r="J31" s="9">
        <f>(($E$11/30)/1000000)/2</f>
        <v>14.039205500490619</v>
      </c>
      <c r="K31" s="9">
        <f t="shared" si="11"/>
        <v>59.456249999999997</v>
      </c>
      <c r="L31" s="9">
        <f t="shared" si="12"/>
        <v>52.972500000000011</v>
      </c>
      <c r="M31" s="9">
        <f>M30+(I30*0.9)</f>
        <v>86.232721303626619</v>
      </c>
      <c r="N31" s="9">
        <f>N30+(J31*0.9)</f>
        <v>62.005089831025977</v>
      </c>
      <c r="O31" s="9">
        <f>O30+(H31*0.9)</f>
        <v>37.203053898615586</v>
      </c>
    </row>
    <row r="32" spans="2:16" x14ac:dyDescent="0.25">
      <c r="B32" s="1">
        <v>2026</v>
      </c>
      <c r="C32" s="9">
        <f>$C$25-((($C$25-$C$41)/16)*7)</f>
        <v>75.742500000000007</v>
      </c>
      <c r="D32" s="9">
        <f>((($C$25-$C$41)/16)*7)</f>
        <v>17.657500000000002</v>
      </c>
      <c r="E32" s="9">
        <f>$E$25-((($E$25-$E$41)/16)*7)</f>
        <v>78.481250000000003</v>
      </c>
      <c r="F32" s="9">
        <f>((($E$25-$E$41)/16)*7)</f>
        <v>19.818749999999998</v>
      </c>
      <c r="G32" s="9">
        <f>(($F$11/100)/1000000)/2</f>
        <v>5.1148686539990447</v>
      </c>
      <c r="H32" s="9">
        <f>(($F$11/50)/1000000)/2</f>
        <v>10.229737307998089</v>
      </c>
      <c r="I32" s="9">
        <f>(($F$11/20)/1000000)/2</f>
        <v>25.574343269995225</v>
      </c>
      <c r="J32" s="9">
        <f>(($F$11/30)/1000000)/2</f>
        <v>17.049562179996816</v>
      </c>
      <c r="K32" s="9">
        <f t="shared" si="11"/>
        <v>79.274999999999991</v>
      </c>
      <c r="L32" s="9">
        <f t="shared" si="12"/>
        <v>70.63000000000001</v>
      </c>
      <c r="M32" s="9">
        <f>M31+(I31*0.9)</f>
        <v>105.18564872928896</v>
      </c>
      <c r="N32" s="9">
        <f>N31+(J32*0.9)</f>
        <v>77.349695793023116</v>
      </c>
      <c r="O32" s="9">
        <f>O31+(H32*0.9)</f>
        <v>46.409817475813867</v>
      </c>
    </row>
    <row r="33" spans="2:15" x14ac:dyDescent="0.25">
      <c r="B33" s="1">
        <v>2027</v>
      </c>
      <c r="C33" s="9">
        <f>$C$25-((($C$25-$C$41)/16)*8)</f>
        <v>73.22</v>
      </c>
      <c r="D33" s="9">
        <f>((($C$25-$C$41)/16)*8)</f>
        <v>20.180000000000003</v>
      </c>
      <c r="E33" s="9">
        <f>$E$25-((($E$25-$E$41)/16)*8)</f>
        <v>75.650000000000006</v>
      </c>
      <c r="F33" s="9">
        <f>((($E$25-$E$41)/16)*8)</f>
        <v>22.65</v>
      </c>
      <c r="G33" s="9">
        <f>(($F$11/100)/1000000)/2</f>
        <v>5.1148686539990447</v>
      </c>
      <c r="H33" s="9">
        <f>(($F$11/50)/1000000)/2</f>
        <v>10.229737307998089</v>
      </c>
      <c r="I33" s="9">
        <f>(($F$11/20)/1000000)/2</f>
        <v>25.574343269995225</v>
      </c>
      <c r="J33" s="9">
        <f>(($F$11/30)/1000000)/2</f>
        <v>17.049562179996816</v>
      </c>
      <c r="K33" s="9">
        <f t="shared" si="11"/>
        <v>101.92499999999998</v>
      </c>
      <c r="L33" s="9">
        <f t="shared" si="12"/>
        <v>90.810000000000016</v>
      </c>
      <c r="M33" s="9">
        <f>M32+(I32*0.9)</f>
        <v>128.20255767228466</v>
      </c>
      <c r="N33" s="9">
        <f>N32+(J33*0.9)</f>
        <v>92.694301755020248</v>
      </c>
      <c r="O33" s="9">
        <f>O32+(H33*0.9)</f>
        <v>55.616581053012148</v>
      </c>
    </row>
    <row r="34" spans="2:15" x14ac:dyDescent="0.25">
      <c r="B34" s="1">
        <v>2028</v>
      </c>
      <c r="C34" s="9">
        <f>$C$25-((($C$25-$C$41)/16)*9)</f>
        <v>70.697500000000005</v>
      </c>
      <c r="D34" s="9">
        <f>((($C$25-$C$41)/16)*9)</f>
        <v>22.702500000000004</v>
      </c>
      <c r="E34" s="9">
        <f>$E$25-((($E$25-$E$41)/16)*9)</f>
        <v>72.818749999999994</v>
      </c>
      <c r="F34" s="9">
        <f>((($E$25-$E$41)/16)*9)</f>
        <v>25.481249999999999</v>
      </c>
      <c r="G34" s="9">
        <f>(($G$11/100)/1000000)/2</f>
        <v>6.156649834950052</v>
      </c>
      <c r="H34" s="9">
        <f>(($G$11/50)/1000000)/2</f>
        <v>12.313299669900104</v>
      </c>
      <c r="I34" s="9">
        <f>(($G$11/20)/1000000)/2</f>
        <v>30.78324917475026</v>
      </c>
      <c r="J34" s="9">
        <f>(($G$11/30)/1000000)/2</f>
        <v>20.522166116500177</v>
      </c>
      <c r="K34" s="9">
        <f t="shared" si="11"/>
        <v>127.40624999999999</v>
      </c>
      <c r="L34" s="9">
        <f t="shared" si="12"/>
        <v>113.51250000000002</v>
      </c>
      <c r="M34" s="9">
        <f>M33+(I33*0.9)</f>
        <v>151.21946661528037</v>
      </c>
      <c r="N34" s="9">
        <f>N33+(J34*0.9)</f>
        <v>111.16425125987041</v>
      </c>
      <c r="O34" s="9">
        <f>O33+(H34*0.9)</f>
        <v>66.698550755922241</v>
      </c>
    </row>
    <row r="35" spans="2:15" x14ac:dyDescent="0.25">
      <c r="B35" s="1">
        <v>2029</v>
      </c>
      <c r="C35" s="9">
        <f>$C$25-((($C$25-$C$41)/16)*10)</f>
        <v>68.174999999999997</v>
      </c>
      <c r="D35" s="9">
        <f>((($C$25-$C$41)/16)*10)</f>
        <v>25.225000000000005</v>
      </c>
      <c r="E35" s="9">
        <f>$E$25-((($E$25-$E$41)/16)*10)</f>
        <v>69.987499999999997</v>
      </c>
      <c r="F35" s="9">
        <f>((($E$25-$E$41)/16)*10)</f>
        <v>28.3125</v>
      </c>
      <c r="G35" s="9">
        <f>(($G$11/100)/1000000)/2</f>
        <v>6.156649834950052</v>
      </c>
      <c r="H35" s="9">
        <f>(($G$11/50)/1000000)/2</f>
        <v>12.313299669900104</v>
      </c>
      <c r="I35" s="9">
        <f>(($G$11/20)/1000000)/2</f>
        <v>30.78324917475026</v>
      </c>
      <c r="J35" s="9">
        <f>(($G$11/30)/1000000)/2</f>
        <v>20.522166116500177</v>
      </c>
      <c r="K35" s="9">
        <f t="shared" si="11"/>
        <v>155.71875</v>
      </c>
      <c r="L35" s="9">
        <f t="shared" si="12"/>
        <v>138.73750000000001</v>
      </c>
      <c r="M35" s="9">
        <f>M34+(I34*0.9)</f>
        <v>178.92439087255559</v>
      </c>
      <c r="N35" s="9">
        <f>N34+(J35*0.9)</f>
        <v>129.63420076472056</v>
      </c>
      <c r="O35" s="9">
        <f>O34+(H35*0.9)</f>
        <v>77.780520458832342</v>
      </c>
    </row>
    <row r="36" spans="2:15" x14ac:dyDescent="0.25">
      <c r="B36" s="1">
        <v>2030</v>
      </c>
      <c r="C36" s="9">
        <f>$C$25-((($C$25-$C$41)/16)*11)</f>
        <v>65.652500000000003</v>
      </c>
      <c r="D36" s="9">
        <f>((($C$25-$C$41)/16)*11)</f>
        <v>27.747500000000006</v>
      </c>
      <c r="E36" s="9">
        <f>$E$25-((($E$25-$E$41)/16)*11)</f>
        <v>67.15625</v>
      </c>
      <c r="F36" s="9">
        <f>((($E$25-$E$41)/16)*11)</f>
        <v>31.143749999999997</v>
      </c>
      <c r="G36" s="27">
        <f t="shared" ref="G36:H36" si="13">(G34*0.12)+G34</f>
        <v>6.8954478151440579</v>
      </c>
      <c r="H36" s="27">
        <f t="shared" si="13"/>
        <v>13.790895630288116</v>
      </c>
      <c r="I36" s="27">
        <f>(I34*0.12)+I34</f>
        <v>34.477239075720291</v>
      </c>
      <c r="J36" s="27">
        <f t="shared" ref="J36:J41" si="14">(J34*0.12)+J34</f>
        <v>22.984826050480198</v>
      </c>
      <c r="K36" s="9">
        <f t="shared" si="11"/>
        <v>186.86250000000001</v>
      </c>
      <c r="L36" s="9">
        <f t="shared" si="12"/>
        <v>166.48500000000001</v>
      </c>
      <c r="M36" s="9">
        <f>M35+(I35*0.9)</f>
        <v>206.62931512983081</v>
      </c>
      <c r="N36" s="9">
        <f>N35+(J36*0.9)</f>
        <v>150.32054421015275</v>
      </c>
      <c r="O36" s="9">
        <f>O35+(H36*0.9)</f>
        <v>90.192326526091648</v>
      </c>
    </row>
    <row r="37" spans="2:15" x14ac:dyDescent="0.25">
      <c r="B37" s="1">
        <v>2031</v>
      </c>
      <c r="C37" s="9">
        <f>$C$25-((($C$25-$C$41)/16)*12)</f>
        <v>63.13</v>
      </c>
      <c r="D37" s="9">
        <f>((($C$25-$C$41)/16)*12)</f>
        <v>30.270000000000003</v>
      </c>
      <c r="E37" s="9">
        <f>$E$25-((($E$25-$E$41)/16)*12)</f>
        <v>64.325000000000003</v>
      </c>
      <c r="F37" s="9">
        <f>((($E$25-$E$41)/16)*12)</f>
        <v>33.974999999999994</v>
      </c>
      <c r="G37" s="27">
        <f t="shared" ref="G37:H37" si="15">(G35*0.12)+G35</f>
        <v>6.8954478151440579</v>
      </c>
      <c r="H37" s="27">
        <f t="shared" si="15"/>
        <v>13.790895630288116</v>
      </c>
      <c r="I37" s="27">
        <f>I36</f>
        <v>34.477239075720291</v>
      </c>
      <c r="J37" s="27">
        <f t="shared" si="14"/>
        <v>22.984826050480198</v>
      </c>
      <c r="K37" s="9">
        <f t="shared" si="11"/>
        <v>220.83750000000001</v>
      </c>
      <c r="L37" s="9">
        <f t="shared" si="12"/>
        <v>196.75500000000002</v>
      </c>
      <c r="M37" s="9">
        <f>M36+(I36*0.9)</f>
        <v>237.65883029797908</v>
      </c>
      <c r="N37" s="9">
        <f>N36+(J37*0.9)</f>
        <v>171.00688765558493</v>
      </c>
      <c r="O37" s="9">
        <f>O36+(H37*0.9)</f>
        <v>102.60413259335095</v>
      </c>
    </row>
    <row r="38" spans="2:15" x14ac:dyDescent="0.25">
      <c r="B38" s="1">
        <v>2032</v>
      </c>
      <c r="C38" s="9">
        <f>$C$25-((($C$25-$C$41)/16)*13)</f>
        <v>60.607500000000002</v>
      </c>
      <c r="D38" s="9">
        <f>((($C$25-$C$41)/16)*13)</f>
        <v>32.792500000000004</v>
      </c>
      <c r="E38" s="9">
        <f>$E$25-((($E$25-$E$41)/16)*13)</f>
        <v>61.493749999999999</v>
      </c>
      <c r="F38" s="9">
        <f>((($E$25-$E$41)/16)*13)</f>
        <v>36.806249999999999</v>
      </c>
      <c r="G38" s="27">
        <f t="shared" ref="G38:H38" si="16">(G36*0.12)+G36</f>
        <v>7.7229015529613445</v>
      </c>
      <c r="H38" s="27">
        <f t="shared" si="16"/>
        <v>15.445803105922689</v>
      </c>
      <c r="I38" s="27">
        <f>(I36*0.12)+I36</f>
        <v>38.614507764806724</v>
      </c>
      <c r="J38" s="27">
        <f t="shared" si="14"/>
        <v>25.743005176537821</v>
      </c>
      <c r="K38" s="9">
        <f t="shared" si="11"/>
        <v>257.64375000000001</v>
      </c>
      <c r="L38" s="9">
        <f t="shared" si="12"/>
        <v>229.54750000000001</v>
      </c>
      <c r="M38" s="9">
        <f>M37+(I37*0.9)</f>
        <v>268.68834546612732</v>
      </c>
      <c r="N38" s="9">
        <f>N37+(J38*0.9)</f>
        <v>194.17559231446899</v>
      </c>
      <c r="O38" s="9">
        <f>O37+(H38*0.9)</f>
        <v>116.50535538868138</v>
      </c>
    </row>
    <row r="39" spans="2:15" x14ac:dyDescent="0.25">
      <c r="B39" s="1">
        <v>2033</v>
      </c>
      <c r="C39" s="9">
        <f>$C$25-((($C$25-$C$41)/16)*14)</f>
        <v>58.085000000000001</v>
      </c>
      <c r="D39" s="9">
        <f>((($C$25-$C$41)/16)*14)</f>
        <v>35.315000000000005</v>
      </c>
      <c r="E39" s="9">
        <f>$E$25-((($E$25-$E$41)/16)*14)</f>
        <v>58.662500000000001</v>
      </c>
      <c r="F39" s="9">
        <f>((($E$25-$E$41)/16)*14)</f>
        <v>39.637499999999996</v>
      </c>
      <c r="G39" s="27">
        <f t="shared" ref="G39:H39" si="17">(G37*0.12)+G37</f>
        <v>7.7229015529613445</v>
      </c>
      <c r="H39" s="27">
        <f t="shared" si="17"/>
        <v>15.445803105922689</v>
      </c>
      <c r="I39" s="27">
        <f>I38</f>
        <v>38.614507764806724</v>
      </c>
      <c r="J39" s="27">
        <f t="shared" si="14"/>
        <v>25.743005176537821</v>
      </c>
      <c r="K39" s="9">
        <f t="shared" si="11"/>
        <v>297.28125</v>
      </c>
      <c r="L39" s="9">
        <f t="shared" si="12"/>
        <v>264.86250000000001</v>
      </c>
      <c r="M39" s="9">
        <f>M38+(I38*0.9)</f>
        <v>303.4414024544534</v>
      </c>
      <c r="N39" s="9">
        <f>N38+(J39*0.9)</f>
        <v>217.34429697335304</v>
      </c>
      <c r="O39" s="9">
        <f>O38+(H39*0.9)</f>
        <v>130.40657818401181</v>
      </c>
    </row>
    <row r="40" spans="2:15" x14ac:dyDescent="0.25">
      <c r="B40" s="1">
        <v>2034</v>
      </c>
      <c r="C40" s="9">
        <f>$C$25-((($C$25-$C$41)/16)*15)</f>
        <v>55.5625</v>
      </c>
      <c r="D40" s="9">
        <f>((($C$25-$C$41)/16)*15)</f>
        <v>37.837500000000006</v>
      </c>
      <c r="E40" s="9">
        <f>$E$25-((($E$25-$E$41)/16)*15)</f>
        <v>55.831249999999997</v>
      </c>
      <c r="F40" s="9">
        <f>((($E$25-$E$41)/16)*15)</f>
        <v>42.46875</v>
      </c>
      <c r="G40" s="27">
        <f t="shared" ref="G40:H40" si="18">(G38*0.12)+G38</f>
        <v>8.6496497393167058</v>
      </c>
      <c r="H40" s="27">
        <f t="shared" si="18"/>
        <v>17.299299478633412</v>
      </c>
      <c r="I40" s="27">
        <f>(I38*0.12)+I38</f>
        <v>43.248248696583531</v>
      </c>
      <c r="J40" s="27">
        <f t="shared" si="14"/>
        <v>28.832165797722361</v>
      </c>
      <c r="K40" s="9">
        <f t="shared" si="11"/>
        <v>339.75</v>
      </c>
      <c r="L40" s="9">
        <f t="shared" si="12"/>
        <v>302.70000000000005</v>
      </c>
      <c r="M40" s="9">
        <f>M39+(I39*0.9)</f>
        <v>338.19445944277948</v>
      </c>
      <c r="N40" s="9">
        <f>N39+(J40*0.9)</f>
        <v>243.29324619130315</v>
      </c>
      <c r="O40" s="9">
        <f>O39+(H40*0.9)</f>
        <v>145.97594771478188</v>
      </c>
    </row>
    <row r="41" spans="2:15" x14ac:dyDescent="0.25">
      <c r="B41" s="1">
        <v>2035</v>
      </c>
      <c r="C41" s="9">
        <v>53.04</v>
      </c>
      <c r="D41" s="9">
        <f>((($C$25-$C$41)/16)*16)</f>
        <v>40.360000000000007</v>
      </c>
      <c r="E41" s="9">
        <v>53</v>
      </c>
      <c r="F41" s="9">
        <f>((($E$25-$E$41)/16)*16)</f>
        <v>45.3</v>
      </c>
      <c r="G41" s="27">
        <f t="shared" ref="G41:H41" si="19">(G39*0.12)+G39</f>
        <v>8.6496497393167058</v>
      </c>
      <c r="H41" s="27">
        <f t="shared" si="19"/>
        <v>17.299299478633412</v>
      </c>
      <c r="I41" s="27">
        <f>I40</f>
        <v>43.248248696583531</v>
      </c>
      <c r="J41" s="27">
        <f t="shared" si="14"/>
        <v>28.832165797722361</v>
      </c>
      <c r="K41" s="9">
        <f t="shared" si="11"/>
        <v>385.05</v>
      </c>
      <c r="L41" s="9">
        <f t="shared" si="12"/>
        <v>343.06000000000006</v>
      </c>
      <c r="M41" s="9">
        <f>M40+(I40*0.9)</f>
        <v>377.11788326970463</v>
      </c>
      <c r="N41" s="9">
        <f>N40+(J41*0.9)</f>
        <v>269.24219540925327</v>
      </c>
      <c r="O41" s="9">
        <f>O40+(H41*0.9)</f>
        <v>161.54531724555196</v>
      </c>
    </row>
    <row r="42" spans="2:15" x14ac:dyDescent="0.25">
      <c r="B42"/>
      <c r="L42" t="s">
        <v>35</v>
      </c>
      <c r="M42" s="13">
        <f>M41/K41</f>
        <v>0.97939977475575801</v>
      </c>
      <c r="N42" s="13">
        <f>N41/K41</f>
        <v>0.69923956735294968</v>
      </c>
      <c r="O42" s="13">
        <f>O41/K41</f>
        <v>0.41954374041176978</v>
      </c>
    </row>
    <row r="43" spans="2:15" x14ac:dyDescent="0.25">
      <c r="B43"/>
      <c r="L43" t="s">
        <v>36</v>
      </c>
      <c r="M43" s="13">
        <f>M41/$L41</f>
        <v>1.0992767541237818</v>
      </c>
      <c r="N43" s="13">
        <f>N41/$L41</f>
        <v>0.7848253815928794</v>
      </c>
      <c r="O43" s="13">
        <f>O41/$L41</f>
        <v>0.47089522895572766</v>
      </c>
    </row>
    <row r="44" spans="2:15" x14ac:dyDescent="0.25">
      <c r="B44"/>
    </row>
    <row r="45" spans="2:15" x14ac:dyDescent="0.25">
      <c r="B45"/>
    </row>
    <row r="46" spans="2:15" x14ac:dyDescent="0.25">
      <c r="B46"/>
    </row>
    <row r="47" spans="2:15" x14ac:dyDescent="0.25">
      <c r="B47"/>
    </row>
    <row r="48" spans="2:15" x14ac:dyDescent="0.25">
      <c r="B48"/>
    </row>
    <row r="49" spans="2:2" x14ac:dyDescent="0.25">
      <c r="B49"/>
    </row>
    <row r="50" spans="2:2" x14ac:dyDescent="0.25">
      <c r="B50"/>
    </row>
  </sheetData>
  <pageMargins left="0.7" right="0.7" top="0.75" bottom="0.75" header="0.3" footer="0.3"/>
  <pageSetup orientation="portrait" r:id="rId1"/>
  <ignoredErrors>
    <ignoredError sqref="I37:I4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Myers</dc:creator>
  <cp:lastModifiedBy>Todd Myers</cp:lastModifiedBy>
  <dcterms:created xsi:type="dcterms:W3CDTF">2018-02-15T19:01:16Z</dcterms:created>
  <dcterms:modified xsi:type="dcterms:W3CDTF">2018-02-22T00:40:21Z</dcterms:modified>
</cp:coreProperties>
</file>